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シミュレーション" sheetId="1" r:id="rId1"/>
    <sheet name="実質年率テーブル" sheetId="2" state="hidden" r:id="rId2"/>
  </sheets>
  <definedNames>
    <definedName name="_xlnm.Print_Area" localSheetId="0">'シミュレーション'!$A$1:$AU$28</definedName>
  </definedNames>
  <calcPr fullCalcOnLoad="1"/>
</workbook>
</file>

<file path=xl/sharedStrings.xml><?xml version="1.0" encoding="utf-8"?>
<sst xmlns="http://schemas.openxmlformats.org/spreadsheetml/2006/main" count="89" uniqueCount="69">
  <si>
    <t>元本</t>
  </si>
  <si>
    <t>手数料率</t>
  </si>
  <si>
    <t>支払回数</t>
  </si>
  <si>
    <t>顧客手数料率(%)</t>
  </si>
  <si>
    <t>支　払　回　数</t>
  </si>
  <si>
    <t>顧客手数料</t>
  </si>
  <si>
    <t>分割払金合計</t>
  </si>
  <si>
    <t>初回返済額</t>
  </si>
  <si>
    <t>２回目以降返済額</t>
  </si>
  <si>
    <t>(元本</t>
  </si>
  <si>
    <t>手数料</t>
  </si>
  <si>
    <t>ボーナス月(1)加算額</t>
  </si>
  <si>
    <t>ボーナス月(2)加算額</t>
  </si>
  <si>
    <t>手数料率</t>
  </si>
  <si>
    <t>%)</t>
  </si>
  <si>
    <t>×</t>
  </si>
  <si>
    <t>ボーナス月(1)回数</t>
  </si>
  <si>
    <t>ボーナス月(2)回数</t>
  </si>
  <si>
    <t>)</t>
  </si>
  <si>
    <t>ボーナス月(1)返済月</t>
  </si>
  <si>
    <t>ボーナス月(2)返済月</t>
  </si>
  <si>
    <t>月</t>
  </si>
  <si>
    <t>％</t>
  </si>
  <si>
    <t>月の返済額に加算する)</t>
  </si>
  <si>
    <t>(</t>
  </si>
  <si>
    <t>①</t>
  </si>
  <si>
    <t>①</t>
  </si>
  <si>
    <t>②</t>
  </si>
  <si>
    <t>③</t>
  </si>
  <si>
    <t>顧客手数料　－　２回目以降返済手数料　×　（回数　－　１）</t>
  </si>
  <si>
    <t>顧客手数料　÷　支払回数</t>
  </si>
  <si>
    <t>（円未満初回へ）</t>
  </si>
  <si>
    <t>初回返済手数料</t>
  </si>
  <si>
    <t>２回目以降返済額</t>
  </si>
  <si>
    <t>元本　＋　顧客手数料</t>
  </si>
  <si>
    <t>⑤</t>
  </si>
  <si>
    <t>⑥</t>
  </si>
  <si>
    <t>⑦</t>
  </si>
  <si>
    <t>⑧</t>
  </si>
  <si>
    <t>初回返済元本</t>
  </si>
  <si>
    <t>２回目以降返済元本</t>
  </si>
  <si>
    <t>初回返済額　－　初回返済手数料</t>
  </si>
  <si>
    <t>２回目以降返済手数料</t>
  </si>
  <si>
    <t>２回目以降返済額　－　２回目以降返済手数料</t>
  </si>
  <si>
    <t>（円未満切り捨て）</t>
  </si>
  <si>
    <t>(分割払金合計　－　ボーナス加算額計)　÷　支払回数</t>
  </si>
  <si>
    <t>(分割払金合計　－　ボーナス加算額計)　－　２回目以降返済額　×　（支払回数　－　１）</t>
  </si>
  <si>
    <t>元本　×　顧客手数料率(%)</t>
  </si>
  <si>
    <t>④</t>
  </si>
  <si>
    <t>（１００円未満初回へ）</t>
  </si>
  <si>
    <t>②</t>
  </si>
  <si>
    <t>③</t>
  </si>
  <si>
    <t>④</t>
  </si>
  <si>
    <t>アドオン換算</t>
  </si>
  <si>
    <t>ボーナスチェック</t>
  </si>
  <si>
    <t>返済期間</t>
  </si>
  <si>
    <t>※スキップ扱いは、</t>
  </si>
  <si>
    <t>×　月数（最大</t>
  </si>
  <si>
    <t>）　＝　スキップ手数料（顧客手数料）</t>
  </si>
  <si>
    <t>※スキップ月数</t>
  </si>
  <si>
    <t>ヶ月</t>
  </si>
  <si>
    <t>)</t>
  </si>
  <si>
    <t>(内)スキップ手数料(</t>
  </si>
  <si>
    <t>年2</t>
  </si>
  <si>
    <t>入校月</t>
  </si>
  <si>
    <t>ボーナス月(1)支払額</t>
  </si>
  <si>
    <t>ボーナス月(2)支払額</t>
  </si>
  <si>
    <r>
      <t>(支払回数は</t>
    </r>
    <r>
      <rPr>
        <sz val="10"/>
        <color indexed="10"/>
        <rFont val="HG丸ｺﾞｼｯｸM-PRO"/>
        <family val="3"/>
      </rPr>
      <t>２回</t>
    </r>
    <r>
      <rPr>
        <sz val="10"/>
        <color indexed="17"/>
        <rFont val="HG丸ｺﾞｼｯｸM-PRO"/>
        <family val="3"/>
      </rPr>
      <t>で入力)</t>
    </r>
  </si>
  <si>
    <r>
      <t>←</t>
    </r>
    <r>
      <rPr>
        <b/>
        <sz val="12"/>
        <color indexed="17"/>
        <rFont val="HG丸ｺﾞｼｯｸM-PRO"/>
        <family val="3"/>
      </rPr>
      <t>年２回払いの場合「</t>
    </r>
    <r>
      <rPr>
        <b/>
        <sz val="12"/>
        <color indexed="10"/>
        <rFont val="HG丸ｺﾞｼｯｸM-PRO"/>
        <family val="3"/>
      </rPr>
      <t>○</t>
    </r>
    <r>
      <rPr>
        <b/>
        <sz val="12"/>
        <color indexed="17"/>
        <rFont val="HG丸ｺﾞｼｯｸM-PRO"/>
        <family val="3"/>
      </rPr>
      <t>」(ﾏﾙ)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</si>
</sst>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0_ 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&quot;%&quot;"/>
    <numFmt numFmtId="185" formatCode="0_ &quot;回&quot;"/>
    <numFmt numFmtId="186" formatCode="[$-411]ge\.m"/>
    <numFmt numFmtId="187" formatCode="0.0_ &quot;%&quot;"/>
    <numFmt numFmtId="188" formatCode="0&quot;ヶ月&quot;"/>
    <numFmt numFmtId="189" formatCode="[$-411]ge\.m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0"/>
      <color indexed="10"/>
      <name val="HG丸ｺﾞｼｯｸM-PRO"/>
      <family val="3"/>
    </font>
    <font>
      <b/>
      <sz val="10"/>
      <color indexed="48"/>
      <name val="HG丸ｺﾞｼｯｸM-PRO"/>
      <family val="3"/>
    </font>
    <font>
      <b/>
      <sz val="12"/>
      <color indexed="9"/>
      <name val="HG丸ｺﾞｼｯｸM-PRO"/>
      <family val="3"/>
    </font>
    <font>
      <b/>
      <sz val="10"/>
      <color indexed="17"/>
      <name val="HG丸ｺﾞｼｯｸM-PRO"/>
      <family val="3"/>
    </font>
    <font>
      <b/>
      <sz val="10"/>
      <color indexed="9"/>
      <name val="HG丸ｺﾞｼｯｸM-PRO"/>
      <family val="3"/>
    </font>
    <font>
      <b/>
      <sz val="18"/>
      <color indexed="9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1"/>
      <color indexed="48"/>
      <name val="HG丸ｺﾞｼｯｸM-PRO"/>
      <family val="3"/>
    </font>
    <font>
      <b/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42"/>
      <name val="HG丸ｺﾞｼｯｸM-PRO"/>
      <family val="3"/>
    </font>
    <font>
      <b/>
      <sz val="12"/>
      <color indexed="12"/>
      <name val="HG丸ｺﾞｼｯｸM-PRO"/>
      <family val="3"/>
    </font>
    <font>
      <b/>
      <sz val="11"/>
      <name val="HG丸ｺﾞｼｯｸM-PRO"/>
      <family val="3"/>
    </font>
    <font>
      <b/>
      <sz val="10"/>
      <color indexed="12"/>
      <name val="HG丸ｺﾞｼｯｸM-PRO"/>
      <family val="3"/>
    </font>
    <font>
      <b/>
      <sz val="12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34" borderId="0" xfId="0" applyNumberFormat="1" applyFont="1" applyFill="1" applyAlignment="1" applyProtection="1">
      <alignment vertical="center"/>
      <protection hidden="1"/>
    </xf>
    <xf numFmtId="49" fontId="3" fillId="34" borderId="0" xfId="0" applyNumberFormat="1" applyFont="1" applyFill="1" applyAlignment="1" applyProtection="1">
      <alignment horizontal="left" vertical="center"/>
      <protection hidden="1"/>
    </xf>
    <xf numFmtId="49" fontId="2" fillId="34" borderId="0" xfId="0" applyNumberFormat="1" applyFont="1" applyFill="1" applyAlignment="1" applyProtection="1">
      <alignment horizontal="center" vertical="center"/>
      <protection hidden="1"/>
    </xf>
    <xf numFmtId="49" fontId="3" fillId="34" borderId="0" xfId="0" applyNumberFormat="1" applyFont="1" applyFill="1" applyAlignment="1" applyProtection="1">
      <alignment vertical="center"/>
      <protection hidden="1"/>
    </xf>
    <xf numFmtId="49" fontId="3" fillId="34" borderId="0" xfId="0" applyNumberFormat="1" applyFont="1" applyFill="1" applyAlignment="1" applyProtection="1">
      <alignment horizontal="center" vertical="center"/>
      <protection hidden="1"/>
    </xf>
    <xf numFmtId="49" fontId="2" fillId="35" borderId="0" xfId="0" applyNumberFormat="1" applyFont="1" applyFill="1" applyAlignment="1" applyProtection="1">
      <alignment vertical="center"/>
      <protection hidden="1"/>
    </xf>
    <xf numFmtId="49" fontId="6" fillId="35" borderId="0" xfId="0" applyNumberFormat="1" applyFont="1" applyFill="1" applyAlignment="1" applyProtection="1">
      <alignment vertical="center"/>
      <protection hidden="1"/>
    </xf>
    <xf numFmtId="49" fontId="2" fillId="36" borderId="0" xfId="0" applyNumberFormat="1" applyFont="1" applyFill="1" applyAlignment="1" applyProtection="1">
      <alignment vertical="center"/>
      <protection hidden="1"/>
    </xf>
    <xf numFmtId="49" fontId="11" fillId="33" borderId="0" xfId="0" applyNumberFormat="1" applyFont="1" applyFill="1" applyAlignment="1" applyProtection="1">
      <alignment vertical="center"/>
      <protection hidden="1"/>
    </xf>
    <xf numFmtId="49" fontId="11" fillId="34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49" fontId="11" fillId="34" borderId="0" xfId="0" applyNumberFormat="1" applyFont="1" applyFill="1" applyAlignment="1" applyProtection="1">
      <alignment horizontal="right" vertical="center"/>
      <protection hidden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9" fontId="12" fillId="34" borderId="0" xfId="0" applyNumberFormat="1" applyFont="1" applyFill="1" applyBorder="1" applyAlignment="1" applyProtection="1">
      <alignment vertical="center"/>
      <protection hidden="1"/>
    </xf>
    <xf numFmtId="0" fontId="14" fillId="34" borderId="0" xfId="0" applyNumberFormat="1" applyFont="1" applyFill="1" applyAlignment="1" applyProtection="1">
      <alignment vertical="center"/>
      <protection hidden="1"/>
    </xf>
    <xf numFmtId="0" fontId="2" fillId="33" borderId="0" xfId="0" applyNumberFormat="1" applyFont="1" applyFill="1" applyAlignment="1" applyProtection="1">
      <alignment vertical="center"/>
      <protection hidden="1"/>
    </xf>
    <xf numFmtId="49" fontId="15" fillId="33" borderId="0" xfId="0" applyNumberFormat="1" applyFont="1" applyFill="1" applyAlignment="1" applyProtection="1">
      <alignment vertical="center"/>
      <protection hidden="1"/>
    </xf>
    <xf numFmtId="0" fontId="4" fillId="33" borderId="0" xfId="0" applyNumberFormat="1" applyFont="1" applyFill="1" applyAlignment="1" applyProtection="1">
      <alignment vertical="center"/>
      <protection hidden="1"/>
    </xf>
    <xf numFmtId="0" fontId="16" fillId="34" borderId="0" xfId="0" applyNumberFormat="1" applyFont="1" applyFill="1" applyAlignment="1" applyProtection="1">
      <alignment vertical="center"/>
      <protection hidden="1"/>
    </xf>
    <xf numFmtId="49" fontId="3" fillId="34" borderId="0" xfId="0" applyNumberFormat="1" applyFont="1" applyFill="1" applyAlignment="1" applyProtection="1">
      <alignment horizontal="right" vertical="center"/>
      <protection hidden="1"/>
    </xf>
    <xf numFmtId="186" fontId="2" fillId="34" borderId="0" xfId="0" applyNumberFormat="1" applyFont="1" applyFill="1" applyBorder="1" applyAlignment="1" applyProtection="1">
      <alignment vertical="center"/>
      <protection hidden="1"/>
    </xf>
    <xf numFmtId="49" fontId="17" fillId="34" borderId="0" xfId="0" applyNumberFormat="1" applyFont="1" applyFill="1" applyAlignment="1" applyProtection="1">
      <alignment vertical="center"/>
      <protection hidden="1"/>
    </xf>
    <xf numFmtId="189" fontId="2" fillId="34" borderId="0" xfId="0" applyNumberFormat="1" applyFont="1" applyFill="1" applyAlignment="1" applyProtection="1">
      <alignment vertical="center"/>
      <protection hidden="1"/>
    </xf>
    <xf numFmtId="49" fontId="18" fillId="34" borderId="0" xfId="0" applyNumberFormat="1" applyFont="1" applyFill="1" applyAlignment="1" applyProtection="1">
      <alignment horizontal="right" vertical="center"/>
      <protection hidden="1"/>
    </xf>
    <xf numFmtId="186" fontId="19" fillId="33" borderId="0" xfId="0" applyNumberFormat="1" applyFont="1" applyFill="1" applyAlignment="1" applyProtection="1">
      <alignment horizontal="left" vertical="center" shrinkToFit="1"/>
      <protection hidden="1"/>
    </xf>
    <xf numFmtId="0" fontId="19" fillId="33" borderId="0" xfId="0" applyNumberFormat="1" applyFont="1" applyFill="1" applyAlignment="1" applyProtection="1">
      <alignment vertical="center" shrinkToFit="1"/>
      <protection hidden="1"/>
    </xf>
    <xf numFmtId="186" fontId="2" fillId="33" borderId="0" xfId="0" applyNumberFormat="1" applyFont="1" applyFill="1" applyAlignment="1" applyProtection="1">
      <alignment horizontal="left" vertical="center" shrinkToFit="1"/>
      <protection hidden="1"/>
    </xf>
    <xf numFmtId="0" fontId="12" fillId="33" borderId="0" xfId="0" applyNumberFormat="1" applyFont="1" applyFill="1" applyAlignment="1" applyProtection="1">
      <alignment vertical="center"/>
      <protection hidden="1"/>
    </xf>
    <xf numFmtId="189" fontId="3" fillId="34" borderId="0" xfId="0" applyNumberFormat="1" applyFont="1" applyFill="1" applyAlignment="1" applyProtection="1">
      <alignment vertical="center"/>
      <protection hidden="1"/>
    </xf>
    <xf numFmtId="189" fontId="14" fillId="34" borderId="0" xfId="0" applyNumberFormat="1" applyFont="1" applyFill="1" applyAlignment="1" applyProtection="1">
      <alignment vertical="center"/>
      <protection hidden="1"/>
    </xf>
    <xf numFmtId="49" fontId="21" fillId="34" borderId="0" xfId="0" applyNumberFormat="1" applyFont="1" applyFill="1" applyAlignment="1" applyProtection="1">
      <alignment vertical="top"/>
      <protection hidden="1"/>
    </xf>
    <xf numFmtId="189" fontId="4" fillId="37" borderId="10" xfId="0" applyNumberFormat="1" applyFont="1" applyFill="1" applyBorder="1" applyAlignment="1" applyProtection="1">
      <alignment vertical="center"/>
      <protection locked="0"/>
    </xf>
    <xf numFmtId="0" fontId="12" fillId="38" borderId="11" xfId="0" applyNumberFormat="1" applyFont="1" applyFill="1" applyBorder="1" applyAlignment="1" applyProtection="1">
      <alignment horizontal="center" vertical="center"/>
      <protection hidden="1"/>
    </xf>
    <xf numFmtId="0" fontId="12" fillId="38" borderId="12" xfId="0" applyNumberFormat="1" applyFont="1" applyFill="1" applyBorder="1" applyAlignment="1" applyProtection="1">
      <alignment horizontal="center" vertical="center"/>
      <protection hidden="1"/>
    </xf>
    <xf numFmtId="0" fontId="12" fillId="38" borderId="13" xfId="0" applyNumberFormat="1" applyFont="1" applyFill="1" applyBorder="1" applyAlignment="1" applyProtection="1">
      <alignment horizontal="center" vertical="center"/>
      <protection hidden="1"/>
    </xf>
    <xf numFmtId="0" fontId="12" fillId="38" borderId="14" xfId="0" applyNumberFormat="1" applyFont="1" applyFill="1" applyBorder="1" applyAlignment="1" applyProtection="1">
      <alignment horizontal="center" vertical="center"/>
      <protection hidden="1"/>
    </xf>
    <xf numFmtId="0" fontId="12" fillId="38" borderId="15" xfId="0" applyNumberFormat="1" applyFont="1" applyFill="1" applyBorder="1" applyAlignment="1" applyProtection="1">
      <alignment horizontal="center" vertical="center"/>
      <protection hidden="1"/>
    </xf>
    <xf numFmtId="177" fontId="5" fillId="37" borderId="16" xfId="0" applyNumberFormat="1" applyFont="1" applyFill="1" applyBorder="1" applyAlignment="1" applyProtection="1">
      <alignment horizontal="right" vertical="center"/>
      <protection locked="0"/>
    </xf>
    <xf numFmtId="177" fontId="5" fillId="37" borderId="17" xfId="0" applyNumberFormat="1" applyFont="1" applyFill="1" applyBorder="1" applyAlignment="1" applyProtection="1">
      <alignment horizontal="right" vertical="center"/>
      <protection locked="0"/>
    </xf>
    <xf numFmtId="179" fontId="12" fillId="33" borderId="13" xfId="0" applyNumberFormat="1" applyFont="1" applyFill="1" applyBorder="1" applyAlignment="1" applyProtection="1">
      <alignment horizontal="right" vertical="center" shrinkToFit="1"/>
      <protection hidden="1"/>
    </xf>
    <xf numFmtId="179" fontId="12" fillId="33" borderId="15" xfId="0" applyNumberFormat="1" applyFont="1" applyFill="1" applyBorder="1" applyAlignment="1" applyProtection="1">
      <alignment horizontal="right" vertical="center" shrinkToFit="1"/>
      <protection hidden="1"/>
    </xf>
    <xf numFmtId="177" fontId="5" fillId="37" borderId="18" xfId="0" applyNumberFormat="1" applyFont="1" applyFill="1" applyBorder="1" applyAlignment="1" applyProtection="1">
      <alignment horizontal="right" vertical="center"/>
      <protection locked="0"/>
    </xf>
    <xf numFmtId="188" fontId="4" fillId="34" borderId="19" xfId="0" applyNumberFormat="1" applyFont="1" applyFill="1" applyBorder="1" applyAlignment="1" applyProtection="1">
      <alignment horizontal="center" vertical="center"/>
      <protection hidden="1"/>
    </xf>
    <xf numFmtId="179" fontId="12" fillId="33" borderId="14" xfId="0" applyNumberFormat="1" applyFont="1" applyFill="1" applyBorder="1" applyAlignment="1" applyProtection="1">
      <alignment horizontal="right" vertical="center" shrinkToFit="1"/>
      <protection hidden="1"/>
    </xf>
    <xf numFmtId="179" fontId="12" fillId="33" borderId="20" xfId="0" applyNumberFormat="1" applyFont="1" applyFill="1" applyBorder="1" applyAlignment="1" applyProtection="1">
      <alignment horizontal="right" vertical="center" shrinkToFit="1"/>
      <protection hidden="1"/>
    </xf>
    <xf numFmtId="179" fontId="12" fillId="33" borderId="21" xfId="0" applyNumberFormat="1" applyFont="1" applyFill="1" applyBorder="1" applyAlignment="1" applyProtection="1">
      <alignment horizontal="right" vertical="center" shrinkToFit="1"/>
      <protection hidden="1"/>
    </xf>
    <xf numFmtId="180" fontId="4" fillId="34" borderId="0" xfId="0" applyNumberFormat="1" applyFont="1" applyFill="1" applyBorder="1" applyAlignment="1" applyProtection="1">
      <alignment horizontal="right" vertical="center"/>
      <protection hidden="1"/>
    </xf>
    <xf numFmtId="186" fontId="19" fillId="34" borderId="0" xfId="0" applyNumberFormat="1" applyFont="1" applyFill="1" applyBorder="1" applyAlignment="1" applyProtection="1">
      <alignment horizontal="center" vertical="center" shrinkToFit="1"/>
      <protection hidden="1"/>
    </xf>
    <xf numFmtId="176" fontId="5" fillId="37" borderId="16" xfId="0" applyNumberFormat="1" applyFont="1" applyFill="1" applyBorder="1" applyAlignment="1" applyProtection="1">
      <alignment horizontal="right" vertical="center"/>
      <protection locked="0"/>
    </xf>
    <xf numFmtId="176" fontId="5" fillId="37" borderId="18" xfId="0" applyNumberFormat="1" applyFont="1" applyFill="1" applyBorder="1" applyAlignment="1" applyProtection="1">
      <alignment horizontal="right" vertical="center"/>
      <protection locked="0"/>
    </xf>
    <xf numFmtId="176" fontId="5" fillId="37" borderId="17" xfId="0" applyNumberFormat="1" applyFont="1" applyFill="1" applyBorder="1" applyAlignment="1" applyProtection="1">
      <alignment horizontal="right" vertical="center"/>
      <protection locked="0"/>
    </xf>
    <xf numFmtId="177" fontId="4" fillId="37" borderId="16" xfId="0" applyNumberFormat="1" applyFont="1" applyFill="1" applyBorder="1" applyAlignment="1" applyProtection="1">
      <alignment horizontal="right" vertical="center"/>
      <protection hidden="1" locked="0"/>
    </xf>
    <xf numFmtId="177" fontId="4" fillId="37" borderId="18" xfId="0" applyNumberFormat="1" applyFont="1" applyFill="1" applyBorder="1" applyAlignment="1" applyProtection="1">
      <alignment horizontal="right" vertical="center"/>
      <protection hidden="1" locked="0"/>
    </xf>
    <xf numFmtId="177" fontId="4" fillId="37" borderId="17" xfId="0" applyNumberFormat="1" applyFont="1" applyFill="1" applyBorder="1" applyAlignment="1" applyProtection="1">
      <alignment horizontal="right" vertical="center"/>
      <protection hidden="1" locked="0"/>
    </xf>
    <xf numFmtId="189" fontId="14" fillId="34" borderId="0" xfId="0" applyNumberFormat="1" applyFont="1" applyFill="1" applyAlignment="1" applyProtection="1">
      <alignment horizontal="center" vertical="center"/>
      <protection hidden="1"/>
    </xf>
    <xf numFmtId="189" fontId="19" fillId="34" borderId="0" xfId="0" applyNumberFormat="1" applyFont="1" applyFill="1" applyAlignment="1" applyProtection="1">
      <alignment horizontal="right" vertical="center" shrinkToFit="1"/>
      <protection hidden="1"/>
    </xf>
    <xf numFmtId="49" fontId="9" fillId="39" borderId="0" xfId="0" applyNumberFormat="1" applyFont="1" applyFill="1" applyAlignment="1" applyProtection="1">
      <alignment horizontal="center" vertical="center"/>
      <protection hidden="1"/>
    </xf>
    <xf numFmtId="49" fontId="10" fillId="39" borderId="0" xfId="0" applyNumberFormat="1" applyFont="1" applyFill="1" applyAlignment="1" applyProtection="1">
      <alignment horizontal="center" vertical="center"/>
      <protection hidden="1"/>
    </xf>
    <xf numFmtId="49" fontId="3" fillId="34" borderId="0" xfId="0" applyNumberFormat="1" applyFont="1" applyFill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right"/>
      <protection locked="0"/>
    </xf>
    <xf numFmtId="49" fontId="14" fillId="34" borderId="0" xfId="0" applyNumberFormat="1" applyFont="1" applyFill="1" applyAlignment="1" applyProtection="1">
      <alignment horizontal="left" vertical="center"/>
      <protection hidden="1"/>
    </xf>
    <xf numFmtId="186" fontId="4" fillId="37" borderId="16" xfId="0" applyNumberFormat="1" applyFont="1" applyFill="1" applyBorder="1" applyAlignment="1" applyProtection="1">
      <alignment horizontal="center" vertical="center"/>
      <protection locked="0"/>
    </xf>
    <xf numFmtId="186" fontId="4" fillId="37" borderId="18" xfId="0" applyNumberFormat="1" applyFont="1" applyFill="1" applyBorder="1" applyAlignment="1" applyProtection="1">
      <alignment horizontal="center" vertical="center"/>
      <protection locked="0"/>
    </xf>
    <xf numFmtId="186" fontId="4" fillId="37" borderId="17" xfId="0" applyNumberFormat="1" applyFont="1" applyFill="1" applyBorder="1" applyAlignment="1" applyProtection="1">
      <alignment horizontal="center" vertical="center"/>
      <protection locked="0"/>
    </xf>
    <xf numFmtId="176" fontId="7" fillId="33" borderId="13" xfId="0" applyNumberFormat="1" applyFont="1" applyFill="1" applyBorder="1" applyAlignment="1" applyProtection="1">
      <alignment horizontal="right" vertical="center"/>
      <protection hidden="1"/>
    </xf>
    <xf numFmtId="176" fontId="7" fillId="33" borderId="14" xfId="0" applyNumberFormat="1" applyFont="1" applyFill="1" applyBorder="1" applyAlignment="1" applyProtection="1">
      <alignment horizontal="right" vertical="center"/>
      <protection hidden="1"/>
    </xf>
    <xf numFmtId="176" fontId="7" fillId="33" borderId="15" xfId="0" applyNumberFormat="1" applyFont="1" applyFill="1" applyBorder="1" applyAlignment="1" applyProtection="1">
      <alignment horizontal="right" vertical="center"/>
      <protection hidden="1"/>
    </xf>
    <xf numFmtId="49" fontId="6" fillId="35" borderId="0" xfId="0" applyNumberFormat="1" applyFont="1" applyFill="1" applyAlignment="1" applyProtection="1">
      <alignment horizontal="right" vertical="center"/>
      <protection hidden="1"/>
    </xf>
    <xf numFmtId="180" fontId="8" fillId="35" borderId="22" xfId="0" applyNumberFormat="1" applyFont="1" applyFill="1" applyBorder="1" applyAlignment="1" applyProtection="1">
      <alignment horizontal="right" vertical="center"/>
      <protection hidden="1"/>
    </xf>
    <xf numFmtId="176" fontId="7" fillId="38" borderId="13" xfId="0" applyNumberFormat="1" applyFont="1" applyFill="1" applyBorder="1" applyAlignment="1" applyProtection="1">
      <alignment horizontal="right" vertical="center"/>
      <protection hidden="1"/>
    </xf>
    <xf numFmtId="176" fontId="7" fillId="38" borderId="14" xfId="0" applyNumberFormat="1" applyFont="1" applyFill="1" applyBorder="1" applyAlignment="1" applyProtection="1">
      <alignment horizontal="right" vertical="center"/>
      <protection hidden="1"/>
    </xf>
    <xf numFmtId="176" fontId="7" fillId="38" borderId="15" xfId="0" applyNumberFormat="1" applyFont="1" applyFill="1" applyBorder="1" applyAlignment="1" applyProtection="1">
      <alignment horizontal="right" vertical="center"/>
      <protection hidden="1"/>
    </xf>
    <xf numFmtId="187" fontId="4" fillId="34" borderId="19" xfId="0" applyNumberFormat="1" applyFont="1" applyFill="1" applyBorder="1" applyAlignment="1" applyProtection="1">
      <alignment horizontal="center" vertical="center"/>
      <protection hidden="1"/>
    </xf>
    <xf numFmtId="176" fontId="8" fillId="35" borderId="22" xfId="0" applyNumberFormat="1" applyFont="1" applyFill="1" applyBorder="1" applyAlignment="1" applyProtection="1">
      <alignment horizontal="right" vertical="center"/>
      <protection hidden="1"/>
    </xf>
    <xf numFmtId="49" fontId="12" fillId="38" borderId="13" xfId="0" applyNumberFormat="1" applyFont="1" applyFill="1" applyBorder="1" applyAlignment="1" applyProtection="1">
      <alignment horizontal="center" vertical="center"/>
      <protection hidden="1"/>
    </xf>
    <xf numFmtId="49" fontId="12" fillId="38" borderId="14" xfId="0" applyNumberFormat="1" applyFont="1" applyFill="1" applyBorder="1" applyAlignment="1" applyProtection="1">
      <alignment horizontal="center" vertical="center"/>
      <protection hidden="1"/>
    </xf>
    <xf numFmtId="49" fontId="12" fillId="38" borderId="15" xfId="0" applyNumberFormat="1" applyFont="1" applyFill="1" applyBorder="1" applyAlignment="1" applyProtection="1">
      <alignment horizontal="center" vertical="center"/>
      <protection hidden="1"/>
    </xf>
    <xf numFmtId="49" fontId="12" fillId="33" borderId="13" xfId="0" applyNumberFormat="1" applyFont="1" applyFill="1" applyBorder="1" applyAlignment="1" applyProtection="1">
      <alignment horizontal="center" vertical="center"/>
      <protection hidden="1"/>
    </xf>
    <xf numFmtId="49" fontId="12" fillId="33" borderId="14" xfId="0" applyNumberFormat="1" applyFont="1" applyFill="1" applyBorder="1" applyAlignment="1" applyProtection="1">
      <alignment horizontal="center" vertical="center"/>
      <protection hidden="1"/>
    </xf>
    <xf numFmtId="49" fontId="12" fillId="33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2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00FF"/>
      </font>
      <fill>
        <patternFill patternType="solid"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2471;&#12511;&#12517;&#12524;&#12540;&#12471;&#12519;&#12531;!A42" /><Relationship Id="rId2" Type="http://schemas.openxmlformats.org/officeDocument/2006/relationships/hyperlink" Target="#&#12471;&#12511;&#12517;&#12524;&#12540;&#12471;&#12519;&#1253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124075" y="1047750"/>
          <a:ext cx="1200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24075" y="1295400"/>
          <a:ext cx="12001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46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23825" y="57150"/>
          <a:ext cx="90011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114300</xdr:rowOff>
    </xdr:from>
    <xdr:to>
      <xdr:col>46</xdr:col>
      <xdr:colOff>0</xdr:colOff>
      <xdr:row>11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23825" y="666750"/>
          <a:ext cx="900112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46</xdr:col>
      <xdr:colOff>0</xdr:colOff>
      <xdr:row>17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3825" y="2409825"/>
          <a:ext cx="9001125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46</xdr:col>
      <xdr:colOff>0</xdr:colOff>
      <xdr:row>27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23825" y="3648075"/>
          <a:ext cx="900112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114300</xdr:rowOff>
    </xdr:from>
    <xdr:to>
      <xdr:col>9</xdr:col>
      <xdr:colOff>66675</xdr:colOff>
      <xdr:row>19</xdr:row>
      <xdr:rowOff>114300</xdr:rowOff>
    </xdr:to>
    <xdr:sp>
      <xdr:nvSpPr>
        <xdr:cNvPr id="7" name="WordArt 9"/>
        <xdr:cNvSpPr>
          <a:spLocks/>
        </xdr:cNvSpPr>
      </xdr:nvSpPr>
      <xdr:spPr>
        <a:xfrm>
          <a:off x="295275" y="3762375"/>
          <a:ext cx="14954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FFFFFF"/>
                  </a:gs>
                  <a:gs pos="100000">
                    <a:srgbClr val="CCFFFF"/>
                  </a:gs>
                </a:gsLst>
                <a:lin ang="2700000" scaled="1"/>
              </a:gradFill>
              <a:latin typeface="HG丸ｺﾞｼｯｸM-PRO"/>
              <a:cs typeface="HG丸ｺﾞｼｯｸM-PRO"/>
            </a:rPr>
            <a:t>計算結果</a:t>
          </a:r>
        </a:p>
      </xdr:txBody>
    </xdr:sp>
    <xdr:clientData/>
  </xdr:twoCellAnchor>
  <xdr:twoCellAnchor>
    <xdr:from>
      <xdr:col>3</xdr:col>
      <xdr:colOff>190500</xdr:colOff>
      <xdr:row>1</xdr:row>
      <xdr:rowOff>104775</xdr:rowOff>
    </xdr:from>
    <xdr:to>
      <xdr:col>42</xdr:col>
      <xdr:colOff>95250</xdr:colOff>
      <xdr:row>2</xdr:row>
      <xdr:rowOff>161925</xdr:rowOff>
    </xdr:to>
    <xdr:sp>
      <xdr:nvSpPr>
        <xdr:cNvPr id="8" name="WordArt 10"/>
        <xdr:cNvSpPr>
          <a:spLocks/>
        </xdr:cNvSpPr>
      </xdr:nvSpPr>
      <xdr:spPr>
        <a:xfrm>
          <a:off x="714375" y="161925"/>
          <a:ext cx="7705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FFFFFF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モデルクレジット手数料計算シミュレーション</a:t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43</xdr:col>
      <xdr:colOff>0</xdr:colOff>
      <xdr:row>26</xdr:row>
      <xdr:rowOff>0</xdr:rowOff>
    </xdr:to>
    <xdr:sp>
      <xdr:nvSpPr>
        <xdr:cNvPr id="9" name="Rectangle 11">
          <a:hlinkClick r:id="rId1"/>
        </xdr:cNvPr>
        <xdr:cNvSpPr>
          <a:spLocks/>
        </xdr:cNvSpPr>
      </xdr:nvSpPr>
      <xdr:spPr>
        <a:xfrm>
          <a:off x="7524750" y="5381625"/>
          <a:ext cx="1000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計算式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46</xdr:col>
      <xdr:colOff>0</xdr:colOff>
      <xdr:row>39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23825" y="6000750"/>
          <a:ext cx="90011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28</xdr:row>
      <xdr:rowOff>114300</xdr:rowOff>
    </xdr:from>
    <xdr:to>
      <xdr:col>7</xdr:col>
      <xdr:colOff>19050</xdr:colOff>
      <xdr:row>29</xdr:row>
      <xdr:rowOff>114300</xdr:rowOff>
    </xdr:to>
    <xdr:sp>
      <xdr:nvSpPr>
        <xdr:cNvPr id="11" name="WordArt 14"/>
        <xdr:cNvSpPr>
          <a:spLocks/>
        </xdr:cNvSpPr>
      </xdr:nvSpPr>
      <xdr:spPr>
        <a:xfrm>
          <a:off x="295275" y="6115050"/>
          <a:ext cx="10477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計算式</a:t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43</xdr:col>
      <xdr:colOff>0</xdr:colOff>
      <xdr:row>38</xdr:row>
      <xdr:rowOff>0</xdr:rowOff>
    </xdr:to>
    <xdr:sp>
      <xdr:nvSpPr>
        <xdr:cNvPr id="12" name="Rectangle 15">
          <a:hlinkClick r:id="rId2"/>
        </xdr:cNvPr>
        <xdr:cNvSpPr>
          <a:spLocks/>
        </xdr:cNvSpPr>
      </xdr:nvSpPr>
      <xdr:spPr>
        <a:xfrm>
          <a:off x="7524750" y="8229600"/>
          <a:ext cx="1000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ＴＯＰ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2124075" y="800100"/>
          <a:ext cx="1200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4724400" y="800100"/>
          <a:ext cx="1200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PageLayoutView="0" workbookViewId="0" topLeftCell="A1">
      <selection activeCell="BD14" sqref="BD14"/>
    </sheetView>
  </sheetViews>
  <sheetFormatPr defaultColWidth="9.00390625" defaultRowHeight="13.5"/>
  <cols>
    <col min="1" max="1" width="1.625" style="2" customWidth="1"/>
    <col min="2" max="47" width="2.625" style="2" customWidth="1"/>
    <col min="48" max="48" width="4.125" style="1" hidden="1" customWidth="1"/>
    <col min="49" max="49" width="0" style="1" hidden="1" customWidth="1"/>
    <col min="50" max="50" width="3.125" style="1" hidden="1" customWidth="1"/>
    <col min="51" max="51" width="0" style="1" hidden="1" customWidth="1"/>
    <col min="52" max="52" width="3.50390625" style="1" hidden="1" customWidth="1"/>
    <col min="53" max="53" width="3.875" style="1" hidden="1" customWidth="1"/>
    <col min="54" max="54" width="3.50390625" style="1" hidden="1" customWidth="1"/>
    <col min="55" max="16384" width="9.00390625" style="1" customWidth="1"/>
  </cols>
  <sheetData>
    <row r="1" spans="1:4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1"/>
    </row>
    <row r="3" spans="1:47" ht="19.5" customHeight="1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1"/>
    </row>
    <row r="4" spans="1:5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0" t="s">
        <v>54</v>
      </c>
      <c r="AW4" s="20"/>
      <c r="AX4" s="20"/>
      <c r="AY4" s="20"/>
    </row>
    <row r="5" spans="1:51" ht="9.75" customHeight="1" thickBo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"/>
      <c r="AV5" s="20"/>
      <c r="AW5" s="20"/>
      <c r="AX5" s="20"/>
      <c r="AY5" s="20"/>
    </row>
    <row r="6" spans="1:53" ht="19.5" customHeight="1" thickBot="1">
      <c r="A6" s="1"/>
      <c r="B6" s="3"/>
      <c r="C6" s="64" t="s">
        <v>64</v>
      </c>
      <c r="D6" s="64"/>
      <c r="E6" s="64"/>
      <c r="F6" s="64"/>
      <c r="G6" s="64"/>
      <c r="H6" s="64"/>
      <c r="I6" s="3"/>
      <c r="J6" s="3"/>
      <c r="K6" s="3"/>
      <c r="L6" s="65">
        <v>40940</v>
      </c>
      <c r="M6" s="66"/>
      <c r="N6" s="66"/>
      <c r="O6" s="66"/>
      <c r="P6" s="66"/>
      <c r="Q6" s="67"/>
      <c r="R6" s="3"/>
      <c r="S6" s="3"/>
      <c r="T6" s="4" t="s">
        <v>55</v>
      </c>
      <c r="U6" s="3"/>
      <c r="V6" s="3"/>
      <c r="W6" s="3"/>
      <c r="X6" s="3"/>
      <c r="Y6" s="51">
        <f>IF(OR(L6="",AB7=""),"",$AA$10)</f>
        <v>40969</v>
      </c>
      <c r="Z6" s="51"/>
      <c r="AA6" s="51"/>
      <c r="AB6" s="24" t="str">
        <f>IF(OR(L6="",AB7=""),"","～")</f>
        <v>～</v>
      </c>
      <c r="AC6" s="51">
        <f>IF(OR(L6="",AB7=""),"",IF(AND(AB7=2,NOT(AG10="")),IF($L$6&lt;DATE(YEAR($L$6),$AP$9,1),DATE(YEAR($L$6),$AP$9,1),DATE(YEAR($L$6)+1,$AP$9,1)),DATE(YEAR(EOMONTH(AA10,AB7-1)),MONTH(EOMONTH(AA10,AB7-1)),1)))</f>
        <v>41671</v>
      </c>
      <c r="AD6" s="51"/>
      <c r="AE6" s="51"/>
      <c r="AF6" s="3"/>
      <c r="AG6" s="3"/>
      <c r="AH6" s="3"/>
      <c r="AI6" s="3"/>
      <c r="AJ6" s="3"/>
      <c r="AK6" s="3"/>
      <c r="AL6" s="23"/>
      <c r="AM6" s="23" t="s">
        <v>1</v>
      </c>
      <c r="AN6" s="50">
        <f>IF(OR(AB7="",AB7=0),"",IF(AND(AB7=2,NOT(AG10="")),VLOOKUP("年2",'実質年率テーブル'!$A$2:$B$18,2,0),SUM((K16*L10)+VLOOKUP($AB$7,'実質年率テーブル'!$A$2:$B$18,2,0))))</f>
        <v>11.86</v>
      </c>
      <c r="AO6" s="50"/>
      <c r="AP6" s="50"/>
      <c r="AQ6" s="50"/>
      <c r="AR6" s="5" t="s">
        <v>22</v>
      </c>
      <c r="AS6" s="3"/>
      <c r="AT6" s="3"/>
      <c r="AU6" s="1"/>
      <c r="AV6" s="20"/>
      <c r="AW6" s="31">
        <f>IF(OR(L8="",L8=0,AB8="",AB8=0,AP8="",AP8=0),"","ボーナス返済期間")</f>
      </c>
      <c r="AX6" s="19"/>
      <c r="AY6" s="19"/>
      <c r="AZ6" s="19"/>
      <c r="BA6" s="19"/>
    </row>
    <row r="7" spans="1:53" ht="19.5" customHeight="1" thickBot="1">
      <c r="A7" s="1"/>
      <c r="B7" s="3"/>
      <c r="C7" s="62" t="s">
        <v>0</v>
      </c>
      <c r="D7" s="62"/>
      <c r="E7" s="62"/>
      <c r="F7" s="62"/>
      <c r="G7" s="62"/>
      <c r="H7" s="62"/>
      <c r="I7" s="4"/>
      <c r="J7" s="4"/>
      <c r="K7" s="4"/>
      <c r="L7" s="52">
        <v>230000</v>
      </c>
      <c r="M7" s="53"/>
      <c r="N7" s="53"/>
      <c r="O7" s="53"/>
      <c r="P7" s="53"/>
      <c r="Q7" s="54"/>
      <c r="R7" s="3"/>
      <c r="S7" s="4"/>
      <c r="T7" s="62" t="s">
        <v>2</v>
      </c>
      <c r="U7" s="62"/>
      <c r="V7" s="62"/>
      <c r="W7" s="62"/>
      <c r="X7" s="62"/>
      <c r="Y7" s="62"/>
      <c r="Z7" s="62"/>
      <c r="AA7" s="62"/>
      <c r="AB7" s="41">
        <v>24</v>
      </c>
      <c r="AC7" s="45"/>
      <c r="AD7" s="63"/>
      <c r="AE7" s="3"/>
      <c r="AF7" s="3"/>
      <c r="AG7" s="4"/>
      <c r="AH7" s="4"/>
      <c r="AI7" s="4"/>
      <c r="AJ7" s="4"/>
      <c r="AK7" s="4"/>
      <c r="AL7" s="3"/>
      <c r="AM7" s="27" t="s">
        <v>62</v>
      </c>
      <c r="AN7" s="50">
        <f>IF(OR(AB7="",AB7=0,L10="",L10=0),0,IF(AND(AB7=2,NOT(AG10="")),0,SUM(K16*L10)))</f>
        <v>0</v>
      </c>
      <c r="AO7" s="50"/>
      <c r="AP7" s="50"/>
      <c r="AQ7" s="50"/>
      <c r="AR7" s="5" t="s">
        <v>22</v>
      </c>
      <c r="AS7" s="3" t="s">
        <v>61</v>
      </c>
      <c r="AT7" s="3"/>
      <c r="AU7" s="1"/>
      <c r="AV7" s="20"/>
      <c r="AW7" s="31">
        <f>IF(OR(L8="",L8=0,AB8="",AB8=0,AP8="",AP8=0),"","初回")</f>
      </c>
      <c r="AX7" s="31"/>
      <c r="AY7" s="31">
        <f>IF(OR(L8="",L8=0,AB8="",AB8=0,AP8="",AP8=0),"","最終回")</f>
      </c>
      <c r="AZ7" s="19"/>
      <c r="BA7" s="31">
        <f>IF(OR(L8="",L8=0,AB8="",AB8=0,AP8="",AP8=0),"","回数")</f>
      </c>
    </row>
    <row r="8" spans="1:54" ht="19.5" customHeight="1" thickBot="1">
      <c r="A8" s="1"/>
      <c r="B8" s="3"/>
      <c r="C8" s="4" t="s">
        <v>65</v>
      </c>
      <c r="D8" s="4"/>
      <c r="E8" s="4"/>
      <c r="F8" s="4"/>
      <c r="G8" s="4"/>
      <c r="H8" s="4"/>
      <c r="I8" s="4"/>
      <c r="J8" s="4"/>
      <c r="K8" s="6"/>
      <c r="L8" s="52"/>
      <c r="M8" s="53"/>
      <c r="N8" s="53"/>
      <c r="O8" s="53"/>
      <c r="P8" s="53"/>
      <c r="Q8" s="54"/>
      <c r="R8" s="22" t="str">
        <f>IF(OR(L8="",L8&lt;0),"△","○")</f>
        <v>△</v>
      </c>
      <c r="S8" s="4"/>
      <c r="T8" s="4" t="s">
        <v>16</v>
      </c>
      <c r="U8" s="3"/>
      <c r="V8" s="3"/>
      <c r="W8" s="3"/>
      <c r="X8" s="3"/>
      <c r="Y8" s="3"/>
      <c r="Z8" s="3"/>
      <c r="AA8" s="3"/>
      <c r="AB8" s="41"/>
      <c r="AC8" s="45"/>
      <c r="AD8" s="42"/>
      <c r="AE8" s="22" t="str">
        <f>IF(OR(AB8="",AB8&lt;0),"△","○")</f>
        <v>△</v>
      </c>
      <c r="AF8" s="3"/>
      <c r="AG8" s="4" t="s">
        <v>19</v>
      </c>
      <c r="AH8" s="3"/>
      <c r="AI8" s="3"/>
      <c r="AJ8" s="3"/>
      <c r="AK8" s="3"/>
      <c r="AL8" s="3"/>
      <c r="AM8" s="3"/>
      <c r="AN8" s="3"/>
      <c r="AO8" s="3"/>
      <c r="AP8" s="41"/>
      <c r="AQ8" s="42"/>
      <c r="AR8" s="7" t="s">
        <v>21</v>
      </c>
      <c r="AS8" s="3"/>
      <c r="AT8" s="3"/>
      <c r="AU8" s="1"/>
      <c r="AV8" s="21" t="str">
        <f>IF(AND(R8="○",AE8="○"),"○","△")</f>
        <v>△</v>
      </c>
      <c r="AW8" s="28">
        <f>IF(OR(L6="",AB7="",L8="",L8=0,AB8="",AB8=0,AP8="",AP8=0),"",IF($Y$6&lt;=DATE(YEAR($Y$6),AP8,1),DATE(YEAR($Y$6),AP8,1),DATE(YEAR($Y$6)+1,AP8,1)))</f>
      </c>
      <c r="AX8" s="30">
        <f>IF(OR(L8="",L8=0,AB8="",AB8=0,AP8="",AP8=0),"","～")</f>
      </c>
      <c r="AY8" s="28">
        <f>IF(OR(L6="",AB7="",L8="",L8=0,AB8="",AB8=0,AP8="",AP8=0),"",IF($AC$6&lt;DATE(YEAR($AC$6),AP8,1),DATE(YEAR($AC$6)-1,AP8,1),DATE(YEAR($AC$6),AP8,1)))</f>
      </c>
      <c r="AZ8" s="29" t="str">
        <f>IF($AC$6&lt;AY8,"×","○")</f>
        <v>×</v>
      </c>
      <c r="BA8" s="29">
        <f>IF(OR(L6="",AB7="",L8="",L8=0,AB8="",AB8=0,AP8="",AP8=0),"",SUM(YEAR(AY8)-YEAR(AW8)+1))</f>
      </c>
      <c r="BB8" s="21" t="str">
        <f>IF(AB8=BA8,"○","×")</f>
        <v>○</v>
      </c>
    </row>
    <row r="9" spans="1:54" ht="19.5" customHeight="1" thickBot="1">
      <c r="A9" s="1"/>
      <c r="B9" s="3"/>
      <c r="C9" s="4" t="s">
        <v>66</v>
      </c>
      <c r="D9" s="4"/>
      <c r="E9" s="4"/>
      <c r="F9" s="4"/>
      <c r="G9" s="4"/>
      <c r="H9" s="4"/>
      <c r="I9" s="4"/>
      <c r="J9" s="4"/>
      <c r="K9" s="6"/>
      <c r="L9" s="52"/>
      <c r="M9" s="53"/>
      <c r="N9" s="53"/>
      <c r="O9" s="53"/>
      <c r="P9" s="53"/>
      <c r="Q9" s="54"/>
      <c r="R9" s="22" t="str">
        <f>IF(OR(L9="",L9&lt;0),"△","○")</f>
        <v>△</v>
      </c>
      <c r="S9" s="3"/>
      <c r="T9" s="4" t="s">
        <v>17</v>
      </c>
      <c r="U9" s="3"/>
      <c r="V9" s="3"/>
      <c r="W9" s="3"/>
      <c r="X9" s="3"/>
      <c r="Y9" s="3"/>
      <c r="Z9" s="3"/>
      <c r="AA9" s="3"/>
      <c r="AB9" s="41"/>
      <c r="AC9" s="45"/>
      <c r="AD9" s="42"/>
      <c r="AE9" s="22" t="str">
        <f>IF(OR(AB9="",AB9&lt;0),"△","○")</f>
        <v>△</v>
      </c>
      <c r="AF9" s="3"/>
      <c r="AG9" s="4" t="s">
        <v>20</v>
      </c>
      <c r="AH9" s="3"/>
      <c r="AI9" s="3"/>
      <c r="AJ9" s="3"/>
      <c r="AK9" s="3"/>
      <c r="AL9" s="3"/>
      <c r="AM9" s="3"/>
      <c r="AN9" s="3"/>
      <c r="AO9" s="3"/>
      <c r="AP9" s="41"/>
      <c r="AQ9" s="42"/>
      <c r="AR9" s="7" t="s">
        <v>21</v>
      </c>
      <c r="AS9" s="3"/>
      <c r="AT9" s="3"/>
      <c r="AU9" s="1"/>
      <c r="AV9" s="21" t="str">
        <f>IF(AND(R9="○",AE9="○"),"○","△")</f>
        <v>△</v>
      </c>
      <c r="AW9" s="28">
        <f>IF(OR(L6="",AB7="",L8="",L8=0,AB8="",AB8=0,AP8="",AP8=0,L9="",L9=0,AB9="",AB9=0,AP9="",AP9=0),"",IF($Y$6&lt;=DATE(YEAR($Y$6),AP9,1),DATE(YEAR($Y$6),AP9,1),DATE(YEAR($Y$6)+1,AP9,1)))</f>
      </c>
      <c r="AX9" s="30">
        <f>IF(OR(L8="",L8=0,AB8="",AB8=0,AP8="",AP8=0,L9="",L9=0,AB9="",AB9=0,AP9="",AP9=0),"","～")</f>
      </c>
      <c r="AY9" s="28">
        <f>IF(OR(L6="",AB7="",L8="",L8=0,AB8="",AB8=0,AP8="",AP8=0,L9="",L9=0,AB9="",AB9=0,AP9="",AP9=0),"",IF($AC$6&lt;DATE(YEAR($AC$6),AP9,1),DATE(YEAR($AC$6)-1,AP9,1),DATE(YEAR($AC$6),AP9,1)))</f>
      </c>
      <c r="AZ9" s="29" t="str">
        <f>IF($AC$6&lt;AY9,"×","○")</f>
        <v>×</v>
      </c>
      <c r="BA9" s="29">
        <f>IF(OR(L6="",AB7="",L8="",L8=0,AB8="",AB8=0,AP8="",AP8=0,L9="",L9=0,AB9="",AB9=0,AP9="",AP9=0),"",SUM(YEAR(AY9)-YEAR(AW9)+1))</f>
      </c>
      <c r="BB9" s="21" t="str">
        <f>IF(AB9=BA9,"○","×")</f>
        <v>○</v>
      </c>
    </row>
    <row r="10" spans="1:54" ht="19.5" customHeight="1" thickBot="1">
      <c r="A10" s="1"/>
      <c r="B10" s="3"/>
      <c r="C10" s="25" t="s">
        <v>59</v>
      </c>
      <c r="D10" s="3"/>
      <c r="E10" s="3"/>
      <c r="F10" s="3"/>
      <c r="G10" s="3"/>
      <c r="H10" s="3"/>
      <c r="I10" s="3"/>
      <c r="J10" s="3"/>
      <c r="K10" s="3"/>
      <c r="L10" s="55"/>
      <c r="M10" s="56"/>
      <c r="N10" s="57"/>
      <c r="O10" s="25" t="s">
        <v>60</v>
      </c>
      <c r="P10" s="3"/>
      <c r="Q10" s="3"/>
      <c r="R10" s="58" t="str">
        <f>IF(AND(L10&gt;0,AB7=2,NOT(AG10="")),"年２回スキップなし",IF(L10&gt;S16,"⇒スキップ月数エラー","初回返済年月"))</f>
        <v>初回返済年月</v>
      </c>
      <c r="S10" s="58"/>
      <c r="T10" s="58"/>
      <c r="U10" s="58"/>
      <c r="V10" s="58"/>
      <c r="W10" s="58"/>
      <c r="X10" s="58"/>
      <c r="Y10" s="58"/>
      <c r="Z10" s="58"/>
      <c r="AA10" s="59">
        <f>IF(AND(AB7=2,NOT(AG10="")),IF($L$6&lt;DATE(YEAR($L$6),$AP$8,1),DATE(YEAR($L$6),$AP$8,1),DATE(YEAR($L$6)+1,$AP$8,1)),IF(L6="","",IF(L10&gt;S16,"",DATE(YEAR(EOMONTH(L6,L10+1)),MONTH(EOMONTH(L6,L10+1)),1))))</f>
        <v>40969</v>
      </c>
      <c r="AB10" s="59"/>
      <c r="AC10" s="59"/>
      <c r="AD10" s="59"/>
      <c r="AE10" s="26"/>
      <c r="AF10" s="26"/>
      <c r="AG10" s="35"/>
      <c r="AH10" s="33" t="s">
        <v>68</v>
      </c>
      <c r="AI10" s="26"/>
      <c r="AJ10" s="26"/>
      <c r="AK10" s="26"/>
      <c r="AL10" s="26"/>
      <c r="AM10" s="3"/>
      <c r="AN10" s="32"/>
      <c r="AO10" s="26"/>
      <c r="AP10" s="26"/>
      <c r="AQ10" s="26"/>
      <c r="AR10" s="3"/>
      <c r="AS10" s="3"/>
      <c r="AT10" s="3"/>
      <c r="AU10" s="1"/>
      <c r="AV10" s="21" t="str">
        <f>IF(L8*AB8+L9*AB9&gt;=L7/2,"×","○")</f>
        <v>○</v>
      </c>
      <c r="AZ10" s="21" t="str">
        <f>IF(AND(AZ8="○",AZ9="○"),"○","×")</f>
        <v>×</v>
      </c>
      <c r="BA10" s="19"/>
      <c r="BB10" s="21" t="str">
        <f>IF(AND(BB8="○",BB9="○"),"○","×")</f>
        <v>○</v>
      </c>
    </row>
    <row r="11" spans="1:47" ht="19.5" customHeight="1">
      <c r="A11" s="1"/>
      <c r="B11" s="3"/>
      <c r="C11" s="3"/>
      <c r="D11" s="3"/>
      <c r="E11" s="18" t="b">
        <f>IF(AND(AB7=2,NOT(AG10="")),IF($L$7=SUM($L$8+$L$9),"","年２回払いのボーナス金額に誤りがあります！"),IF(L8&gt;0,IF(OR(AB8="",AB8&lt;1),"※ボーナス月(1)回数を指定して下さい！",IF(L9&gt;0,IF(OR(AB9="",AB9&lt;1),"※ボーナス月(2)回数を指定して下さい！",IF(AV10="×","ボーナス加算額が契約金額の半分を超えています！",IF(AZ10="×","ボーナス返済月が最終支払月を越えています！",IF(BB10="×","ボーナス返済回数に誤りがあります！",""))))))))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4" t="s">
        <v>67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"/>
    </row>
    <row r="12" spans="1:47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9.5" customHeight="1" thickBot="1">
      <c r="A13" s="1"/>
      <c r="B13" s="3"/>
      <c r="C13" s="3"/>
      <c r="D13" s="3"/>
      <c r="E13" s="18">
        <f>IF(ISNA(VLOOKUP($AB$7,'実質年率テーブル'!$A$2:$B$18,2,0))=TRUE,"支払回数を確認して下さい！","")</f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"/>
    </row>
    <row r="14" spans="1:47" ht="19.5" customHeight="1">
      <c r="A14" s="1"/>
      <c r="B14" s="3"/>
      <c r="C14" s="17"/>
      <c r="D14" s="78" t="s">
        <v>4</v>
      </c>
      <c r="E14" s="79"/>
      <c r="F14" s="79"/>
      <c r="G14" s="79"/>
      <c r="H14" s="79"/>
      <c r="I14" s="79"/>
      <c r="J14" s="80"/>
      <c r="K14" s="38">
        <v>1</v>
      </c>
      <c r="L14" s="40"/>
      <c r="M14" s="38">
        <v>2</v>
      </c>
      <c r="N14" s="40"/>
      <c r="O14" s="38">
        <v>3</v>
      </c>
      <c r="P14" s="40"/>
      <c r="Q14" s="38">
        <v>4</v>
      </c>
      <c r="R14" s="40"/>
      <c r="S14" s="38">
        <v>5</v>
      </c>
      <c r="T14" s="40"/>
      <c r="U14" s="38">
        <v>6</v>
      </c>
      <c r="V14" s="40"/>
      <c r="W14" s="38">
        <v>8</v>
      </c>
      <c r="X14" s="40"/>
      <c r="Y14" s="38">
        <v>10</v>
      </c>
      <c r="Z14" s="40"/>
      <c r="AA14" s="38">
        <v>12</v>
      </c>
      <c r="AB14" s="40"/>
      <c r="AC14" s="38">
        <v>15</v>
      </c>
      <c r="AD14" s="40"/>
      <c r="AE14" s="38">
        <v>18</v>
      </c>
      <c r="AF14" s="40"/>
      <c r="AG14" s="38">
        <v>20</v>
      </c>
      <c r="AH14" s="40"/>
      <c r="AI14" s="38">
        <v>24</v>
      </c>
      <c r="AJ14" s="40"/>
      <c r="AK14" s="38">
        <v>30</v>
      </c>
      <c r="AL14" s="40"/>
      <c r="AM14" s="38">
        <v>36</v>
      </c>
      <c r="AN14" s="40"/>
      <c r="AO14" s="38">
        <v>48</v>
      </c>
      <c r="AP14" s="39"/>
      <c r="AQ14" s="36" t="s">
        <v>63</v>
      </c>
      <c r="AR14" s="37"/>
      <c r="AS14" s="3"/>
      <c r="AT14" s="3"/>
      <c r="AU14" s="1"/>
    </row>
    <row r="15" spans="1:47" ht="19.5" customHeight="1" thickBot="1">
      <c r="A15" s="1"/>
      <c r="B15" s="3"/>
      <c r="C15" s="17"/>
      <c r="D15" s="81" t="s">
        <v>3</v>
      </c>
      <c r="E15" s="82"/>
      <c r="F15" s="82"/>
      <c r="G15" s="82"/>
      <c r="H15" s="82"/>
      <c r="I15" s="82"/>
      <c r="J15" s="83"/>
      <c r="K15" s="43">
        <v>0.92</v>
      </c>
      <c r="L15" s="44"/>
      <c r="M15" s="43">
        <v>1.38</v>
      </c>
      <c r="N15" s="44"/>
      <c r="O15" s="43">
        <v>1.84</v>
      </c>
      <c r="P15" s="44"/>
      <c r="Q15" s="43">
        <v>2.3</v>
      </c>
      <c r="R15" s="44"/>
      <c r="S15" s="43">
        <v>2.77</v>
      </c>
      <c r="T15" s="44"/>
      <c r="U15" s="43">
        <v>3.23</v>
      </c>
      <c r="V15" s="44"/>
      <c r="W15" s="43">
        <v>4.17</v>
      </c>
      <c r="X15" s="44"/>
      <c r="Y15" s="43">
        <v>5.11</v>
      </c>
      <c r="Z15" s="44"/>
      <c r="AA15" s="43">
        <v>6.06</v>
      </c>
      <c r="AB15" s="44"/>
      <c r="AC15" s="43">
        <v>7.49</v>
      </c>
      <c r="AD15" s="44"/>
      <c r="AE15" s="43">
        <v>8.93</v>
      </c>
      <c r="AF15" s="44"/>
      <c r="AG15" s="43">
        <v>9.9</v>
      </c>
      <c r="AH15" s="44"/>
      <c r="AI15" s="43">
        <v>11.86</v>
      </c>
      <c r="AJ15" s="44"/>
      <c r="AK15" s="43">
        <v>14.83</v>
      </c>
      <c r="AL15" s="44"/>
      <c r="AM15" s="43">
        <v>17.86</v>
      </c>
      <c r="AN15" s="44"/>
      <c r="AO15" s="43">
        <v>24.06</v>
      </c>
      <c r="AP15" s="47"/>
      <c r="AQ15" s="48">
        <v>7.33</v>
      </c>
      <c r="AR15" s="49"/>
      <c r="AS15" s="3"/>
      <c r="AT15" s="3"/>
      <c r="AU15" s="1"/>
    </row>
    <row r="16" spans="1:47" ht="19.5" customHeight="1">
      <c r="A16" s="1"/>
      <c r="B16" s="3"/>
      <c r="C16" s="3"/>
      <c r="D16" s="3" t="s">
        <v>56</v>
      </c>
      <c r="E16" s="3"/>
      <c r="F16" s="3"/>
      <c r="G16" s="3"/>
      <c r="H16" s="3"/>
      <c r="I16" s="3"/>
      <c r="J16" s="3"/>
      <c r="K16" s="76">
        <v>0.5</v>
      </c>
      <c r="L16" s="76"/>
      <c r="M16" s="76"/>
      <c r="N16" s="3" t="s">
        <v>57</v>
      </c>
      <c r="O16" s="3"/>
      <c r="P16" s="3"/>
      <c r="Q16" s="3"/>
      <c r="R16" s="3"/>
      <c r="S16" s="46">
        <v>6</v>
      </c>
      <c r="T16" s="46"/>
      <c r="U16" s="46"/>
      <c r="V16" s="3" t="s">
        <v>58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1"/>
    </row>
    <row r="17" spans="1:47" ht="9.7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1"/>
    </row>
    <row r="18" spans="1:47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9.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"/>
    </row>
    <row r="20" spans="1:47" ht="19.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"/>
    </row>
    <row r="21" spans="1:47" ht="19.5" customHeight="1">
      <c r="A21" s="1"/>
      <c r="B21" s="8"/>
      <c r="C21" s="9" t="s">
        <v>5</v>
      </c>
      <c r="D21" s="8"/>
      <c r="E21" s="8"/>
      <c r="F21" s="8"/>
      <c r="G21" s="8"/>
      <c r="H21" s="8"/>
      <c r="I21" s="8"/>
      <c r="J21" s="8"/>
      <c r="K21" s="8"/>
      <c r="L21" s="73">
        <f>IF(L7="","",ROUNDDOWN(SUM(L7*AN6/100),0))</f>
        <v>27278</v>
      </c>
      <c r="M21" s="74"/>
      <c r="N21" s="74"/>
      <c r="O21" s="74"/>
      <c r="P21" s="74"/>
      <c r="Q21" s="75"/>
      <c r="R21" s="8" t="s">
        <v>25</v>
      </c>
      <c r="S21" s="9" t="s">
        <v>9</v>
      </c>
      <c r="T21" s="8"/>
      <c r="U21" s="8"/>
      <c r="V21" s="77">
        <f>$L$7</f>
        <v>230000</v>
      </c>
      <c r="W21" s="77"/>
      <c r="X21" s="77"/>
      <c r="Y21" s="77"/>
      <c r="Z21" s="77"/>
      <c r="AA21" s="77"/>
      <c r="AB21" s="8"/>
      <c r="AC21" s="9" t="s">
        <v>15</v>
      </c>
      <c r="AD21" s="9" t="s">
        <v>13</v>
      </c>
      <c r="AE21" s="8"/>
      <c r="AF21" s="8"/>
      <c r="AG21" s="8"/>
      <c r="AH21" s="72">
        <f>$AN$6</f>
        <v>11.86</v>
      </c>
      <c r="AI21" s="72"/>
      <c r="AJ21" s="72"/>
      <c r="AK21" s="72"/>
      <c r="AL21" s="72"/>
      <c r="AM21" s="72"/>
      <c r="AN21" s="9" t="s">
        <v>14</v>
      </c>
      <c r="AO21" s="8"/>
      <c r="AP21" s="8"/>
      <c r="AQ21" s="8"/>
      <c r="AR21" s="8"/>
      <c r="AS21" s="8"/>
      <c r="AT21" s="8"/>
      <c r="AU21" s="1"/>
    </row>
    <row r="22" spans="1:47" ht="19.5" customHeight="1">
      <c r="A22" s="1"/>
      <c r="B22" s="8"/>
      <c r="C22" s="9" t="s">
        <v>6</v>
      </c>
      <c r="D22" s="9"/>
      <c r="E22" s="8"/>
      <c r="F22" s="8"/>
      <c r="G22" s="8"/>
      <c r="H22" s="8"/>
      <c r="I22" s="8"/>
      <c r="J22" s="8"/>
      <c r="K22" s="8"/>
      <c r="L22" s="73">
        <f>IF(L7="","",SUM(V22+AH22))</f>
        <v>257278</v>
      </c>
      <c r="M22" s="74"/>
      <c r="N22" s="74"/>
      <c r="O22" s="74"/>
      <c r="P22" s="74"/>
      <c r="Q22" s="75"/>
      <c r="R22" s="8" t="s">
        <v>50</v>
      </c>
      <c r="S22" s="9" t="s">
        <v>9</v>
      </c>
      <c r="T22" s="8"/>
      <c r="U22" s="8"/>
      <c r="V22" s="68">
        <f>IF(L7="","",$L$7)</f>
        <v>230000</v>
      </c>
      <c r="W22" s="69"/>
      <c r="X22" s="69"/>
      <c r="Y22" s="69"/>
      <c r="Z22" s="69"/>
      <c r="AA22" s="70"/>
      <c r="AB22" s="8"/>
      <c r="AC22" s="8"/>
      <c r="AD22" s="9" t="s">
        <v>10</v>
      </c>
      <c r="AE22" s="8"/>
      <c r="AF22" s="8"/>
      <c r="AG22" s="8"/>
      <c r="AH22" s="68">
        <f>IF(L7="","",$L$21)</f>
        <v>27278</v>
      </c>
      <c r="AI22" s="69"/>
      <c r="AJ22" s="69"/>
      <c r="AK22" s="69"/>
      <c r="AL22" s="69"/>
      <c r="AM22" s="70"/>
      <c r="AN22" s="8" t="s">
        <v>25</v>
      </c>
      <c r="AO22" s="9" t="s">
        <v>18</v>
      </c>
      <c r="AP22" s="8"/>
      <c r="AQ22" s="8"/>
      <c r="AR22" s="8"/>
      <c r="AS22" s="8"/>
      <c r="AT22" s="8"/>
      <c r="AU22" s="1"/>
    </row>
    <row r="23" spans="1:47" ht="19.5" customHeight="1">
      <c r="A23" s="1"/>
      <c r="B23" s="8"/>
      <c r="C23" s="9" t="s">
        <v>7</v>
      </c>
      <c r="D23" s="9"/>
      <c r="E23" s="8"/>
      <c r="F23" s="8"/>
      <c r="G23" s="8"/>
      <c r="H23" s="8"/>
      <c r="I23" s="8"/>
      <c r="J23" s="8"/>
      <c r="K23" s="8"/>
      <c r="L23" s="68">
        <f>IF(L7="","",IF(AND(AB7=2,NOT(AG10="")),SUM(L8+AH23),SUM(SUM(L22-L25*AB8-L26*AB9)-L24*(AB7-1))))</f>
        <v>11178</v>
      </c>
      <c r="M23" s="69"/>
      <c r="N23" s="69"/>
      <c r="O23" s="69"/>
      <c r="P23" s="69"/>
      <c r="Q23" s="70"/>
      <c r="R23" s="8" t="s">
        <v>36</v>
      </c>
      <c r="S23" s="9" t="s">
        <v>9</v>
      </c>
      <c r="T23" s="8"/>
      <c r="U23" s="8"/>
      <c r="V23" s="68">
        <f>IF(L7="","",SUM(L23-AH23))</f>
        <v>10028</v>
      </c>
      <c r="W23" s="69"/>
      <c r="X23" s="69"/>
      <c r="Y23" s="69"/>
      <c r="Z23" s="69"/>
      <c r="AA23" s="70"/>
      <c r="AB23" s="8" t="s">
        <v>37</v>
      </c>
      <c r="AC23" s="8"/>
      <c r="AD23" s="9" t="s">
        <v>10</v>
      </c>
      <c r="AE23" s="8"/>
      <c r="AF23" s="8"/>
      <c r="AG23" s="8"/>
      <c r="AH23" s="68">
        <f>IF(L7="","",SUM(L21-AH24*(AB7-1)))</f>
        <v>1150</v>
      </c>
      <c r="AI23" s="69"/>
      <c r="AJ23" s="69"/>
      <c r="AK23" s="69"/>
      <c r="AL23" s="69"/>
      <c r="AM23" s="70"/>
      <c r="AN23" s="8" t="s">
        <v>52</v>
      </c>
      <c r="AO23" s="9" t="s">
        <v>18</v>
      </c>
      <c r="AP23" s="8"/>
      <c r="AQ23" s="8"/>
      <c r="AR23" s="8"/>
      <c r="AS23" s="8"/>
      <c r="AT23" s="8"/>
      <c r="AU23" s="1"/>
    </row>
    <row r="24" spans="1:48" ht="19.5" customHeight="1">
      <c r="A24" s="1"/>
      <c r="B24" s="8"/>
      <c r="C24" s="9" t="s">
        <v>8</v>
      </c>
      <c r="D24" s="9"/>
      <c r="E24" s="8"/>
      <c r="F24" s="8"/>
      <c r="G24" s="8"/>
      <c r="H24" s="8"/>
      <c r="I24" s="8"/>
      <c r="J24" s="8"/>
      <c r="K24" s="8"/>
      <c r="L24" s="68">
        <f>IF(L7="","",IF(AND(AB7=2,NOT(AG10="")),SUM(L9+AH24),ROUNDDOWN(SUM(SUM(L22-L25*AB8-L26*AB9)/AB7),-2)))</f>
        <v>10700</v>
      </c>
      <c r="M24" s="69"/>
      <c r="N24" s="69"/>
      <c r="O24" s="69"/>
      <c r="P24" s="69"/>
      <c r="Q24" s="70"/>
      <c r="R24" s="8" t="s">
        <v>35</v>
      </c>
      <c r="S24" s="9" t="s">
        <v>9</v>
      </c>
      <c r="T24" s="8"/>
      <c r="U24" s="8"/>
      <c r="V24" s="68">
        <f>IF(L7="","",SUM(L24-AH24))</f>
        <v>9564</v>
      </c>
      <c r="W24" s="69"/>
      <c r="X24" s="69"/>
      <c r="Y24" s="69"/>
      <c r="Z24" s="69"/>
      <c r="AA24" s="70"/>
      <c r="AB24" s="8" t="s">
        <v>38</v>
      </c>
      <c r="AC24" s="8"/>
      <c r="AD24" s="9" t="s">
        <v>10</v>
      </c>
      <c r="AE24" s="8"/>
      <c r="AF24" s="8"/>
      <c r="AG24" s="8"/>
      <c r="AH24" s="68">
        <f>IF(L7="","",ROUNDDOWN(SUM(L21/AB7),0))</f>
        <v>1136</v>
      </c>
      <c r="AI24" s="69"/>
      <c r="AJ24" s="69"/>
      <c r="AK24" s="69"/>
      <c r="AL24" s="69"/>
      <c r="AM24" s="70"/>
      <c r="AN24" s="8" t="s">
        <v>51</v>
      </c>
      <c r="AO24" s="9" t="s">
        <v>18</v>
      </c>
      <c r="AP24" s="8"/>
      <c r="AQ24" s="8"/>
      <c r="AR24" s="8"/>
      <c r="AS24" s="8"/>
      <c r="AT24" s="8"/>
      <c r="AU24" s="1"/>
      <c r="AV24" s="19"/>
    </row>
    <row r="25" spans="1:48" ht="19.5" customHeight="1">
      <c r="A25" s="1"/>
      <c r="B25" s="8"/>
      <c r="C25" s="9" t="s">
        <v>11</v>
      </c>
      <c r="D25" s="9"/>
      <c r="E25" s="8"/>
      <c r="F25" s="8"/>
      <c r="G25" s="8"/>
      <c r="H25" s="8"/>
      <c r="I25" s="8"/>
      <c r="J25" s="8"/>
      <c r="K25" s="8"/>
      <c r="L25" s="68">
        <f>IF(L7="","",IF(AND(AB7=2,NOT(AG10="")),0,IF(AND(AV8="○",AV10="○",AZ10="○",BB10="○"),L8,0)))</f>
        <v>0</v>
      </c>
      <c r="M25" s="69"/>
      <c r="N25" s="69"/>
      <c r="O25" s="69"/>
      <c r="P25" s="69"/>
      <c r="Q25" s="70"/>
      <c r="R25" s="8"/>
      <c r="S25" s="9" t="s">
        <v>24</v>
      </c>
      <c r="T25" s="71">
        <f>$AP$8</f>
        <v>0</v>
      </c>
      <c r="U25" s="71"/>
      <c r="V25" s="9" t="s">
        <v>23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"/>
      <c r="AV25" s="19"/>
    </row>
    <row r="26" spans="1:48" ht="19.5" customHeight="1">
      <c r="A26" s="1"/>
      <c r="B26" s="8"/>
      <c r="C26" s="9" t="s">
        <v>12</v>
      </c>
      <c r="D26" s="9"/>
      <c r="E26" s="8"/>
      <c r="F26" s="8"/>
      <c r="G26" s="8"/>
      <c r="H26" s="8"/>
      <c r="I26" s="8"/>
      <c r="J26" s="8"/>
      <c r="K26" s="8"/>
      <c r="L26" s="68">
        <f>IF(L7="","",IF(AND(AB7=2,NOT(AG10="")),0,IF(AND(AV9="○",AV10="○",AZ10="○",BB10="○"),L9,0)))</f>
        <v>0</v>
      </c>
      <c r="M26" s="69"/>
      <c r="N26" s="69"/>
      <c r="O26" s="69"/>
      <c r="P26" s="69"/>
      <c r="Q26" s="70"/>
      <c r="R26" s="8"/>
      <c r="S26" s="9" t="s">
        <v>24</v>
      </c>
      <c r="T26" s="71">
        <f>$AP$9</f>
        <v>0</v>
      </c>
      <c r="U26" s="71"/>
      <c r="V26" s="9" t="s">
        <v>23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/>
      <c r="AN26" s="10"/>
      <c r="AO26" s="10"/>
      <c r="AP26" s="10"/>
      <c r="AQ26" s="10"/>
      <c r="AR26" s="8"/>
      <c r="AS26" s="8"/>
      <c r="AT26" s="8"/>
      <c r="AU26" s="1"/>
      <c r="AV26" s="19"/>
    </row>
    <row r="27" spans="1:47" ht="19.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"/>
    </row>
    <row r="28" spans="1:47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6" s="11" customFormat="1" ht="19.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2:46" s="11" customFormat="1" ht="19.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2:46" s="11" customFormat="1" ht="19.5" customHeight="1">
      <c r="B31" s="12"/>
      <c r="C31" s="12"/>
      <c r="D31" s="12" t="s">
        <v>26</v>
      </c>
      <c r="E31" s="12"/>
      <c r="F31" s="12" t="s">
        <v>5</v>
      </c>
      <c r="G31" s="12"/>
      <c r="H31" s="12"/>
      <c r="I31" s="12"/>
      <c r="J31" s="12"/>
      <c r="K31" s="12"/>
      <c r="L31" s="12"/>
      <c r="M31" s="12"/>
      <c r="N31" s="12"/>
      <c r="O31" s="12" t="s">
        <v>47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4" t="s">
        <v>44</v>
      </c>
      <c r="AT31" s="12"/>
    </row>
    <row r="32" spans="2:46" s="11" customFormat="1" ht="19.5" customHeight="1">
      <c r="B32" s="12"/>
      <c r="C32" s="12"/>
      <c r="D32" s="12" t="s">
        <v>27</v>
      </c>
      <c r="E32" s="12"/>
      <c r="F32" s="12" t="s">
        <v>6</v>
      </c>
      <c r="G32" s="12"/>
      <c r="H32" s="12"/>
      <c r="I32" s="12"/>
      <c r="J32" s="12"/>
      <c r="K32" s="12"/>
      <c r="L32" s="12"/>
      <c r="M32" s="12"/>
      <c r="N32" s="12"/>
      <c r="O32" s="12" t="s">
        <v>34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2:46" s="11" customFormat="1" ht="19.5" customHeight="1">
      <c r="B33" s="12"/>
      <c r="C33" s="12"/>
      <c r="D33" s="12" t="s">
        <v>28</v>
      </c>
      <c r="E33" s="12"/>
      <c r="F33" s="12" t="s">
        <v>42</v>
      </c>
      <c r="G33" s="12"/>
      <c r="H33" s="12"/>
      <c r="I33" s="12"/>
      <c r="J33" s="12"/>
      <c r="K33" s="12"/>
      <c r="L33" s="12"/>
      <c r="M33" s="12"/>
      <c r="N33" s="12"/>
      <c r="O33" s="12" t="s">
        <v>30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4" t="s">
        <v>31</v>
      </c>
      <c r="AT33" s="12"/>
    </row>
    <row r="34" spans="2:46" s="11" customFormat="1" ht="19.5" customHeight="1">
      <c r="B34" s="12"/>
      <c r="C34" s="12"/>
      <c r="D34" s="12" t="s">
        <v>48</v>
      </c>
      <c r="E34" s="12"/>
      <c r="F34" s="12" t="s">
        <v>32</v>
      </c>
      <c r="G34" s="12"/>
      <c r="H34" s="12"/>
      <c r="I34" s="12"/>
      <c r="J34" s="12"/>
      <c r="K34" s="12"/>
      <c r="L34" s="12"/>
      <c r="M34" s="12"/>
      <c r="N34" s="12"/>
      <c r="O34" s="12" t="s">
        <v>29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2:46" s="11" customFormat="1" ht="19.5" customHeight="1">
      <c r="B35" s="12"/>
      <c r="C35" s="12"/>
      <c r="D35" s="12" t="s">
        <v>35</v>
      </c>
      <c r="E35" s="12"/>
      <c r="F35" s="12" t="s">
        <v>33</v>
      </c>
      <c r="G35" s="12"/>
      <c r="H35" s="12"/>
      <c r="I35" s="12"/>
      <c r="J35" s="12"/>
      <c r="K35" s="12"/>
      <c r="L35" s="12"/>
      <c r="M35" s="12"/>
      <c r="N35" s="12"/>
      <c r="O35" s="12" t="s">
        <v>45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4" t="s">
        <v>49</v>
      </c>
      <c r="AT35" s="12"/>
    </row>
    <row r="36" spans="2:46" s="11" customFormat="1" ht="19.5" customHeight="1">
      <c r="B36" s="12"/>
      <c r="C36" s="12"/>
      <c r="D36" s="12" t="s">
        <v>36</v>
      </c>
      <c r="E36" s="12"/>
      <c r="F36" s="12" t="s">
        <v>7</v>
      </c>
      <c r="G36" s="12"/>
      <c r="H36" s="12"/>
      <c r="I36" s="12"/>
      <c r="J36" s="12"/>
      <c r="K36" s="12"/>
      <c r="L36" s="12"/>
      <c r="M36" s="12"/>
      <c r="N36" s="12"/>
      <c r="O36" s="12" t="s">
        <v>46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2:46" s="11" customFormat="1" ht="19.5" customHeight="1">
      <c r="B37" s="12"/>
      <c r="C37" s="12"/>
      <c r="D37" s="12" t="s">
        <v>37</v>
      </c>
      <c r="E37" s="12"/>
      <c r="F37" s="12" t="s">
        <v>39</v>
      </c>
      <c r="G37" s="12"/>
      <c r="H37" s="12"/>
      <c r="I37" s="12"/>
      <c r="J37" s="12"/>
      <c r="K37" s="12"/>
      <c r="L37" s="12"/>
      <c r="M37" s="12"/>
      <c r="N37" s="12"/>
      <c r="O37" s="12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2:46" s="11" customFormat="1" ht="19.5" customHeight="1">
      <c r="B38" s="12"/>
      <c r="C38" s="12"/>
      <c r="D38" s="12" t="s">
        <v>38</v>
      </c>
      <c r="E38" s="12"/>
      <c r="F38" s="12" t="s">
        <v>40</v>
      </c>
      <c r="G38" s="12"/>
      <c r="H38" s="12"/>
      <c r="I38" s="12"/>
      <c r="J38" s="12"/>
      <c r="K38" s="12"/>
      <c r="L38" s="12"/>
      <c r="M38" s="12"/>
      <c r="N38" s="12"/>
      <c r="O38" s="12" t="s">
        <v>43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2:46" s="11" customFormat="1" ht="19.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pans="1:47" s="11" customFormat="1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s="11" customFormat="1" ht="19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</sheetData>
  <sheetProtection password="CCCB" sheet="1" objects="1" scenarios="1"/>
  <mergeCells count="74">
    <mergeCell ref="D14:J14"/>
    <mergeCell ref="D15:J15"/>
    <mergeCell ref="AI15:AJ15"/>
    <mergeCell ref="AK15:AL15"/>
    <mergeCell ref="AE15:AF15"/>
    <mergeCell ref="AG15:AH15"/>
    <mergeCell ref="K14:L14"/>
    <mergeCell ref="K15:L15"/>
    <mergeCell ref="V21:AA21"/>
    <mergeCell ref="M14:N14"/>
    <mergeCell ref="AG14:AH14"/>
    <mergeCell ref="AI14:AJ14"/>
    <mergeCell ref="L22:Q22"/>
    <mergeCell ref="L23:Q23"/>
    <mergeCell ref="K16:M16"/>
    <mergeCell ref="M15:N15"/>
    <mergeCell ref="O15:P15"/>
    <mergeCell ref="Q15:R15"/>
    <mergeCell ref="L21:Q21"/>
    <mergeCell ref="AH23:AM23"/>
    <mergeCell ref="AH24:AM24"/>
    <mergeCell ref="AH22:AM22"/>
    <mergeCell ref="AH21:AM21"/>
    <mergeCell ref="V22:AA22"/>
    <mergeCell ref="AC15:AD15"/>
    <mergeCell ref="W15:X15"/>
    <mergeCell ref="Y15:Z15"/>
    <mergeCell ref="U15:V15"/>
    <mergeCell ref="AA15:AB15"/>
    <mergeCell ref="L26:Q26"/>
    <mergeCell ref="V24:AA24"/>
    <mergeCell ref="V23:AA23"/>
    <mergeCell ref="L25:Q25"/>
    <mergeCell ref="T25:U25"/>
    <mergeCell ref="T26:U26"/>
    <mergeCell ref="L24:Q24"/>
    <mergeCell ref="B2:AT3"/>
    <mergeCell ref="AB8:AD8"/>
    <mergeCell ref="C7:H7"/>
    <mergeCell ref="T7:AA7"/>
    <mergeCell ref="L8:Q8"/>
    <mergeCell ref="L7:Q7"/>
    <mergeCell ref="AB7:AD7"/>
    <mergeCell ref="AP8:AQ8"/>
    <mergeCell ref="C6:H6"/>
    <mergeCell ref="L6:Q6"/>
    <mergeCell ref="L9:Q9"/>
    <mergeCell ref="O14:P14"/>
    <mergeCell ref="Q14:R14"/>
    <mergeCell ref="L10:N10"/>
    <mergeCell ref="R10:Z10"/>
    <mergeCell ref="AA10:AD10"/>
    <mergeCell ref="U14:V14"/>
    <mergeCell ref="W14:X14"/>
    <mergeCell ref="Y14:Z14"/>
    <mergeCell ref="AA14:AB14"/>
    <mergeCell ref="S16:U16"/>
    <mergeCell ref="S15:T15"/>
    <mergeCell ref="AE14:AF14"/>
    <mergeCell ref="AO15:AP15"/>
    <mergeCell ref="AQ15:AR15"/>
    <mergeCell ref="AN6:AQ6"/>
    <mergeCell ref="AC6:AE6"/>
    <mergeCell ref="Y6:AA6"/>
    <mergeCell ref="AN7:AQ7"/>
    <mergeCell ref="AK14:AL14"/>
    <mergeCell ref="AQ14:AR14"/>
    <mergeCell ref="AO14:AP14"/>
    <mergeCell ref="S14:T14"/>
    <mergeCell ref="AC14:AD14"/>
    <mergeCell ref="AP9:AQ9"/>
    <mergeCell ref="AM15:AN15"/>
    <mergeCell ref="AB9:AD9"/>
    <mergeCell ref="AM14:AN14"/>
  </mergeCells>
  <conditionalFormatting sqref="AB9:AD9">
    <cfRule type="cellIs" priority="1" dxfId="4" operator="notEqual" stopIfTrue="1">
      <formula>$BA$9</formula>
    </cfRule>
  </conditionalFormatting>
  <conditionalFormatting sqref="AB8:AD8">
    <cfRule type="cellIs" priority="2" dxfId="4" operator="notEqual" stopIfTrue="1">
      <formula>$BA$8</formula>
    </cfRule>
  </conditionalFormatting>
  <conditionalFormatting sqref="AB7:AD7">
    <cfRule type="expression" priority="3" dxfId="4" stopIfTrue="1">
      <formula>NOT($E$13="")</formula>
    </cfRule>
  </conditionalFormatting>
  <conditionalFormatting sqref="R10:Z10">
    <cfRule type="cellIs" priority="4" dxfId="5" operator="equal" stopIfTrue="1">
      <formula>"初回返済年月"</formula>
    </cfRule>
  </conditionalFormatting>
  <printOptions/>
  <pageMargins left="0.38" right="0.27" top="0.79" bottom="0.43" header="0.512" footer="0.512"/>
  <pageSetup horizontalDpi="600" verticalDpi="600" orientation="landscape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11.75390625" style="0" bestFit="1" customWidth="1"/>
  </cols>
  <sheetData>
    <row r="1" spans="1:2" ht="13.5">
      <c r="A1" t="s">
        <v>2</v>
      </c>
      <c r="B1" t="s">
        <v>53</v>
      </c>
    </row>
    <row r="2" spans="1:2" ht="13.5">
      <c r="A2" s="16">
        <f>シミュレーション!$K$14</f>
        <v>1</v>
      </c>
      <c r="B2" s="15">
        <f>シミュレーション!$K$15</f>
        <v>0.92</v>
      </c>
    </row>
    <row r="3" spans="1:2" ht="13.5">
      <c r="A3" s="16">
        <f>シミュレーション!$M$14</f>
        <v>2</v>
      </c>
      <c r="B3" s="15">
        <f>シミュレーション!$M$15</f>
        <v>1.38</v>
      </c>
    </row>
    <row r="4" spans="1:2" ht="13.5">
      <c r="A4" s="16">
        <f>シミュレーション!$O$14</f>
        <v>3</v>
      </c>
      <c r="B4" s="15">
        <f>シミュレーション!$O$15</f>
        <v>1.84</v>
      </c>
    </row>
    <row r="5" spans="1:2" ht="13.5">
      <c r="A5" s="16">
        <f>シミュレーション!$Q$14</f>
        <v>4</v>
      </c>
      <c r="B5" s="15">
        <f>シミュレーション!$Q$15</f>
        <v>2.3</v>
      </c>
    </row>
    <row r="6" spans="1:2" ht="13.5">
      <c r="A6" s="16">
        <f>シミュレーション!$S$14</f>
        <v>5</v>
      </c>
      <c r="B6" s="15">
        <f>シミュレーション!$S$15</f>
        <v>2.77</v>
      </c>
    </row>
    <row r="7" spans="1:2" ht="13.5">
      <c r="A7" s="16">
        <f>シミュレーション!$U$14</f>
        <v>6</v>
      </c>
      <c r="B7" s="15">
        <f>シミュレーション!$U$15</f>
        <v>3.23</v>
      </c>
    </row>
    <row r="8" spans="1:2" ht="13.5">
      <c r="A8" s="16">
        <f>シミュレーション!$W$14</f>
        <v>8</v>
      </c>
      <c r="B8" s="15">
        <f>シミュレーション!$W$15</f>
        <v>4.17</v>
      </c>
    </row>
    <row r="9" spans="1:2" ht="13.5">
      <c r="A9" s="16">
        <f>シミュレーション!$Y$14</f>
        <v>10</v>
      </c>
      <c r="B9" s="15">
        <f>シミュレーション!$Y$15</f>
        <v>5.11</v>
      </c>
    </row>
    <row r="10" spans="1:2" ht="13.5">
      <c r="A10" s="16">
        <f>シミュレーション!$AA$14</f>
        <v>12</v>
      </c>
      <c r="B10" s="15">
        <f>シミュレーション!$AA$15</f>
        <v>6.06</v>
      </c>
    </row>
    <row r="11" spans="1:2" ht="13.5">
      <c r="A11" s="16">
        <f>シミュレーション!$AC$14</f>
        <v>15</v>
      </c>
      <c r="B11" s="15">
        <f>シミュレーション!$AC$15</f>
        <v>7.49</v>
      </c>
    </row>
    <row r="12" spans="1:2" ht="13.5">
      <c r="A12" s="16">
        <f>シミュレーション!$AE$14</f>
        <v>18</v>
      </c>
      <c r="B12" s="15">
        <f>シミュレーション!$AE$15</f>
        <v>8.93</v>
      </c>
    </row>
    <row r="13" spans="1:2" ht="13.5">
      <c r="A13" s="16">
        <f>シミュレーション!$AG$14</f>
        <v>20</v>
      </c>
      <c r="B13" s="15">
        <f>シミュレーション!$AG$15</f>
        <v>9.9</v>
      </c>
    </row>
    <row r="14" spans="1:2" ht="13.5">
      <c r="A14" s="16">
        <f>シミュレーション!$AI$14</f>
        <v>24</v>
      </c>
      <c r="B14" s="15">
        <f>シミュレーション!$AI$15</f>
        <v>11.86</v>
      </c>
    </row>
    <row r="15" spans="1:2" ht="13.5">
      <c r="A15" s="16">
        <f>シミュレーション!$AK$14</f>
        <v>30</v>
      </c>
      <c r="B15" s="15">
        <f>シミュレーション!$AK$15</f>
        <v>14.83</v>
      </c>
    </row>
    <row r="16" spans="1:2" ht="13.5">
      <c r="A16" s="16">
        <f>シミュレーション!$AM$14</f>
        <v>36</v>
      </c>
      <c r="B16" s="15">
        <f>シミュレーション!$AM$15</f>
        <v>17.86</v>
      </c>
    </row>
    <row r="17" spans="1:2" ht="13.5">
      <c r="A17" s="16">
        <f>シミュレーション!$AO$14</f>
        <v>48</v>
      </c>
      <c r="B17" s="15">
        <f>シミュレーション!$AO$15</f>
        <v>24.06</v>
      </c>
    </row>
    <row r="18" spans="1:2" ht="13.5">
      <c r="A18" s="16" t="str">
        <f>シミュレーション!$AQ$14</f>
        <v>年2</v>
      </c>
      <c r="B18" s="15">
        <f>シミュレーション!$AQ$15</f>
        <v>7.33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MEDHIASYSTEM</dc:creator>
  <cp:keywords/>
  <dc:description/>
  <cp:lastModifiedBy>高木　忍</cp:lastModifiedBy>
  <cp:lastPrinted>2001-08-18T07:22:42Z</cp:lastPrinted>
  <dcterms:created xsi:type="dcterms:W3CDTF">2001-08-18T01:56:56Z</dcterms:created>
  <dcterms:modified xsi:type="dcterms:W3CDTF">2012-02-03T06:06:08Z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